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DFs of Current Printed Marketing Materials\REFI V2021\REFI v.2021 Calculator\"/>
    </mc:Choice>
  </mc:AlternateContent>
  <bookViews>
    <workbookView xWindow="0" yWindow="0" windowWidth="23040" windowHeight="9195"/>
  </bookViews>
  <sheets>
    <sheet name="504 Refi of 504 Worksheet " sheetId="3" r:id="rId1"/>
    <sheet name="Sample" sheetId="4" r:id="rId2"/>
  </sheets>
  <definedNames>
    <definedName name="_xlnm.Print_Area" localSheetId="0">'504 Refi of 504 Worksheet '!$A$1:$G$100</definedName>
  </definedNames>
  <calcPr calcId="162913"/>
</workbook>
</file>

<file path=xl/calcChain.xml><?xml version="1.0" encoding="utf-8"?>
<calcChain xmlns="http://schemas.openxmlformats.org/spreadsheetml/2006/main">
  <c r="G87" i="4" l="1"/>
  <c r="D17" i="4"/>
  <c r="G96" i="4"/>
  <c r="D93" i="4"/>
  <c r="D92" i="4"/>
  <c r="G69" i="4"/>
  <c r="E64" i="4"/>
  <c r="B23" i="4"/>
  <c r="D16" i="4"/>
  <c r="B16" i="4"/>
  <c r="D13" i="4"/>
  <c r="B13" i="4"/>
  <c r="B17" i="4"/>
  <c r="D93" i="3"/>
  <c r="D92" i="3"/>
  <c r="G69" i="3"/>
  <c r="G96" i="3"/>
  <c r="B24" i="3"/>
  <c r="B23" i="3"/>
  <c r="E64" i="3"/>
  <c r="B24" i="4"/>
  <c r="B25" i="4"/>
  <c r="B22" i="4"/>
  <c r="B27" i="4"/>
  <c r="B25" i="3"/>
  <c r="B22" i="3"/>
  <c r="B27" i="3"/>
  <c r="E24" i="3"/>
  <c r="E22" i="4"/>
  <c r="E26" i="4"/>
  <c r="E24" i="4"/>
  <c r="E26" i="3"/>
  <c r="E22" i="3"/>
  <c r="B38" i="3"/>
  <c r="D75" i="3"/>
  <c r="D72" i="3"/>
  <c r="D73" i="3"/>
  <c r="B63" i="4"/>
  <c r="B51" i="4"/>
  <c r="E27" i="4"/>
  <c r="F24" i="4"/>
  <c r="D72" i="4"/>
  <c r="B38" i="4"/>
  <c r="F26" i="4"/>
  <c r="E27" i="3"/>
  <c r="F26" i="3"/>
  <c r="B51" i="3"/>
  <c r="B54" i="3"/>
  <c r="B63" i="3"/>
  <c r="B42" i="3"/>
  <c r="B41" i="3"/>
  <c r="B40" i="3"/>
  <c r="D74" i="3"/>
  <c r="D78" i="3"/>
  <c r="B80" i="3"/>
  <c r="B81" i="3"/>
  <c r="D82" i="3"/>
  <c r="B44" i="3"/>
  <c r="F63" i="3"/>
  <c r="G63" i="3"/>
  <c r="B92" i="3"/>
  <c r="F92" i="3"/>
  <c r="G92" i="3"/>
  <c r="F22" i="4"/>
  <c r="D73" i="4"/>
  <c r="F27" i="4"/>
  <c r="B42" i="4"/>
  <c r="B41" i="4"/>
  <c r="B40" i="4"/>
  <c r="D75" i="4"/>
  <c r="D74" i="4"/>
  <c r="B54" i="4"/>
  <c r="B55" i="4"/>
  <c r="F63" i="4"/>
  <c r="G63" i="4"/>
  <c r="B92" i="4"/>
  <c r="F92" i="4"/>
  <c r="G92" i="4"/>
  <c r="F22" i="3"/>
  <c r="F24" i="3"/>
  <c r="B55" i="3"/>
  <c r="G87" i="3"/>
  <c r="G99" i="3"/>
  <c r="D83" i="3"/>
  <c r="D84" i="3"/>
  <c r="B45" i="3"/>
  <c r="B47" i="3"/>
  <c r="D78" i="4"/>
  <c r="B80" i="4"/>
  <c r="B81" i="4"/>
  <c r="D82" i="4"/>
  <c r="B44" i="4"/>
  <c r="F27" i="3"/>
  <c r="B64" i="3"/>
  <c r="E47" i="3"/>
  <c r="G99" i="4"/>
  <c r="B45" i="4"/>
  <c r="B47" i="4"/>
  <c r="D83" i="4"/>
  <c r="D84" i="4"/>
  <c r="F64" i="3"/>
  <c r="G64" i="3"/>
  <c r="G65" i="3"/>
  <c r="G70" i="3"/>
  <c r="G88" i="3"/>
  <c r="B93" i="3"/>
  <c r="F93" i="3"/>
  <c r="G93" i="3"/>
  <c r="G94" i="3"/>
  <c r="G97" i="3"/>
  <c r="G100" i="3"/>
  <c r="B64" i="4"/>
  <c r="E47" i="4"/>
  <c r="B93" i="4"/>
  <c r="F93" i="4"/>
  <c r="G93" i="4"/>
  <c r="G94" i="4"/>
  <c r="G97" i="4"/>
  <c r="G100" i="4"/>
  <c r="F64" i="4"/>
  <c r="G64" i="4"/>
  <c r="G65" i="4"/>
  <c r="G70" i="4"/>
  <c r="G88" i="4"/>
</calcChain>
</file>

<file path=xl/sharedStrings.xml><?xml version="1.0" encoding="utf-8"?>
<sst xmlns="http://schemas.openxmlformats.org/spreadsheetml/2006/main" count="194" uniqueCount="82">
  <si>
    <t xml:space="preserve">  Total </t>
  </si>
  <si>
    <t xml:space="preserve">  Total</t>
  </si>
  <si>
    <t>Debenture Pricing:</t>
  </si>
  <si>
    <t>Net Debenture Amount</t>
  </si>
  <si>
    <t xml:space="preserve">  Subtotal</t>
  </si>
  <si>
    <t>Subtotal divided by .996</t>
  </si>
  <si>
    <t>Rounded up to nearest 000</t>
  </si>
  <si>
    <t>Gross Debenture Amount</t>
  </si>
  <si>
    <t>Net Debenture x .25%</t>
  </si>
  <si>
    <t>Flat Fee</t>
  </si>
  <si>
    <t xml:space="preserve">Refund to Borrower = </t>
  </si>
  <si>
    <t>Gross Debenture x .4%</t>
  </si>
  <si>
    <t>504 Uses of Funds:</t>
  </si>
  <si>
    <t>504 Sources of Funds:</t>
  </si>
  <si>
    <t>*</t>
  </si>
  <si>
    <t>1. DCFC Funding Fee</t>
  </si>
  <si>
    <t>2. CDC Processing Fee</t>
  </si>
  <si>
    <t>3. Bond Counsel Fee</t>
  </si>
  <si>
    <t>4. Underwriting Fee</t>
  </si>
  <si>
    <t xml:space="preserve">Net Debenture x 1.5% </t>
  </si>
  <si>
    <t>* Amount paid back over the life of the loan (i.e. beginning principal balance)</t>
  </si>
  <si>
    <t xml:space="preserve">  Environmental Report</t>
  </si>
  <si>
    <t>2. SBA Reserve Fee</t>
  </si>
  <si>
    <t>3. CDC Processing Fee</t>
  </si>
  <si>
    <t>4. Bond Counsel Fee</t>
  </si>
  <si>
    <t>5. Underwriting Fee</t>
  </si>
  <si>
    <t>Net Debenture x .5%</t>
  </si>
  <si>
    <t xml:space="preserve">  Appraisal Report</t>
  </si>
  <si>
    <t>Estimate</t>
  </si>
  <si>
    <t xml:space="preserve">Total Fees, when added to, and paid back with, the debenture, add approx. 25bp to the effective rate.  </t>
  </si>
  <si>
    <t xml:space="preserve">*Interest rates on WBD's 504 loans are set by the market. The interest rate on a borrower’s 504 loan is fixed to the current market rate at the time the SBA sells a debenture bond to fund the loan. </t>
  </si>
  <si>
    <t>Latest effective rate is</t>
  </si>
  <si>
    <t>Loan Amount</t>
  </si>
  <si>
    <t>Amortization</t>
  </si>
  <si>
    <t>Interest Rate</t>
  </si>
  <si>
    <t>PMT</t>
  </si>
  <si>
    <t>Annual</t>
  </si>
  <si>
    <t>Total</t>
  </si>
  <si>
    <t>SBA Reserve Fee</t>
  </si>
  <si>
    <t>WBD/SBA</t>
  </si>
  <si>
    <t xml:space="preserve">* Assumption for payment estimation purposes.  It is up to the lender and the small business customer to negotiate an acceptable rate between themselves. </t>
  </si>
  <si>
    <t>504 Structure &amp; Fee Calculator</t>
  </si>
  <si>
    <t xml:space="preserve">  Interim Loan Fee</t>
  </si>
  <si>
    <t xml:space="preserve">Other Fees: (eligible to be included in soft cost allocation above) </t>
  </si>
  <si>
    <t>ndrewsen@wbd.org |www.wbd.org |blog.wbd.org</t>
  </si>
  <si>
    <t>Email: ndrewsen@wbd.org</t>
  </si>
  <si>
    <r>
      <t xml:space="preserve">Contact:                          </t>
    </r>
    <r>
      <rPr>
        <b/>
        <sz val="12"/>
        <color indexed="62"/>
        <rFont val="Arial"/>
        <family val="2"/>
      </rPr>
      <t>Nicholas Drewsen</t>
    </r>
    <r>
      <rPr>
        <sz val="10"/>
        <rFont val="Arial"/>
        <family val="2"/>
      </rPr>
      <t xml:space="preserve">
Vice President &amp; Loan Officer
Direct – (608) 316-7134
Cell – (608) 770-2435</t>
    </r>
  </si>
  <si>
    <t>Debt Schedule</t>
  </si>
  <si>
    <t xml:space="preserve">Appraisal </t>
  </si>
  <si>
    <t>WBD/SBA - 2nd Mtg</t>
  </si>
  <si>
    <t>Phase I</t>
  </si>
  <si>
    <t xml:space="preserve">Borrowers Contribution </t>
  </si>
  <si>
    <t>Lender</t>
  </si>
  <si>
    <t>1/2% Third Party Lender Fee charged by SBA</t>
  </si>
  <si>
    <t xml:space="preserve">Real Estate Equity (minimum assuming cash out) </t>
  </si>
  <si>
    <t>Refinance Third Party Lender Loan</t>
  </si>
  <si>
    <t xml:space="preserve">Refinance WBD/SBA 504 Loan </t>
  </si>
  <si>
    <t xml:space="preserve">Soft Costs (appraisal, environmental, title, etc.) </t>
  </si>
  <si>
    <t>Lender - 1st Mtg*</t>
  </si>
  <si>
    <t xml:space="preserve">  Attorney/Title Insurance/Prepay</t>
  </si>
  <si>
    <t>Annual Savings</t>
  </si>
  <si>
    <t>Vs Existing</t>
  </si>
  <si>
    <t>504 Fees + Other</t>
  </si>
  <si>
    <t>Payback in Years</t>
  </si>
  <si>
    <t>Amortization*</t>
  </si>
  <si>
    <t xml:space="preserve">What if Debt Stays on the Same Amortization ?  </t>
  </si>
  <si>
    <t>Input Information (Needed)</t>
  </si>
  <si>
    <t xml:space="preserve">Estimated Current Value of Real Estate </t>
  </si>
  <si>
    <t xml:space="preserve">Bank Participation 504 Loan </t>
  </si>
  <si>
    <t>Current Balance</t>
  </si>
  <si>
    <t>Effective Interest Rate</t>
  </si>
  <si>
    <t>Monthly Payment Amount</t>
  </si>
  <si>
    <t xml:space="preserve">Pre Payment Penalty </t>
  </si>
  <si>
    <r>
      <t xml:space="preserve">SBA 504 Loan </t>
    </r>
    <r>
      <rPr>
        <u/>
        <sz val="11"/>
        <color indexed="8"/>
        <rFont val="Calibri"/>
        <family val="2"/>
      </rPr>
      <t xml:space="preserve">(WBD Can Enter) </t>
    </r>
  </si>
  <si>
    <t xml:space="preserve">* If unsure please provide a copy of current bank note and we can calculate </t>
  </si>
  <si>
    <t xml:space="preserve">Sample Refi Project - Originally a $1.5MM 50/40/10 504 Project that is 5 Years in </t>
  </si>
  <si>
    <t>504 Refinance of Existing 504</t>
  </si>
  <si>
    <t xml:space="preserve">** If unsure please provide a copy of current bank note and we can calculate </t>
  </si>
  <si>
    <t>* Will need an appraisal that exceeds total cost figure in the chart below.</t>
  </si>
  <si>
    <t xml:space="preserve">Estimated Current Value of Real Estate* </t>
  </si>
  <si>
    <t>Remaining amortization (in months)*</t>
  </si>
  <si>
    <t>Click Here to find a WBD Loan Officer in your area to contact 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</si>
</sst>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7" formatCode="&quot;$&quot;#,##0.000"/>
    <numFmt numFmtId="168" formatCode="0.000%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62"/>
      <name val="Arial"/>
      <family val="2"/>
    </font>
    <font>
      <u/>
      <sz val="11"/>
      <color indexed="8"/>
      <name val="Calibri"/>
      <family val="2"/>
    </font>
    <font>
      <sz val="10"/>
      <name val="Arial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sz val="12"/>
      <color theme="3" tint="0.3999755851924192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165" fontId="0" fillId="0" borderId="0" xfId="0" applyNumberFormat="1"/>
    <xf numFmtId="165" fontId="2" fillId="0" borderId="1" xfId="0" applyNumberFormat="1" applyFont="1" applyBorder="1"/>
    <xf numFmtId="165" fontId="2" fillId="0" borderId="0" xfId="0" applyNumberFormat="1" applyFont="1" applyBorder="1"/>
    <xf numFmtId="0" fontId="0" fillId="0" borderId="2" xfId="0" applyBorder="1"/>
    <xf numFmtId="0" fontId="3" fillId="0" borderId="0" xfId="0" applyFont="1"/>
    <xf numFmtId="0" fontId="0" fillId="0" borderId="0" xfId="0" applyAlignment="1">
      <alignment horizontal="right"/>
    </xf>
    <xf numFmtId="165" fontId="4" fillId="0" borderId="0" xfId="0" applyNumberFormat="1" applyFont="1" applyBorder="1"/>
    <xf numFmtId="5" fontId="0" fillId="0" borderId="0" xfId="0" applyNumberFormat="1" applyBorder="1"/>
    <xf numFmtId="5" fontId="2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0" fontId="0" fillId="0" borderId="0" xfId="0" applyBorder="1"/>
    <xf numFmtId="165" fontId="2" fillId="0" borderId="2" xfId="0" applyNumberFormat="1" applyFont="1" applyBorder="1"/>
    <xf numFmtId="0" fontId="5" fillId="0" borderId="2" xfId="0" applyFont="1" applyBorder="1"/>
    <xf numFmtId="0" fontId="4" fillId="0" borderId="0" xfId="0" applyFont="1"/>
    <xf numFmtId="5" fontId="4" fillId="0" borderId="0" xfId="0" applyNumberFormat="1" applyFont="1" applyBorder="1"/>
    <xf numFmtId="164" fontId="4" fillId="0" borderId="0" xfId="0" applyNumberFormat="1" applyFont="1" applyBorder="1"/>
    <xf numFmtId="10" fontId="4" fillId="0" borderId="0" xfId="0" applyNumberFormat="1" applyFont="1"/>
    <xf numFmtId="0" fontId="4" fillId="0" borderId="2" xfId="0" applyFont="1" applyBorder="1"/>
    <xf numFmtId="7" fontId="0" fillId="0" borderId="0" xfId="0" applyNumberFormat="1"/>
    <xf numFmtId="15" fontId="0" fillId="0" borderId="0" xfId="0" applyNumberFormat="1"/>
    <xf numFmtId="14" fontId="0" fillId="0" borderId="0" xfId="0" applyNumberFormat="1"/>
    <xf numFmtId="165" fontId="4" fillId="0" borderId="2" xfId="0" applyNumberFormat="1" applyFont="1" applyBorder="1"/>
    <xf numFmtId="0" fontId="2" fillId="0" borderId="2" xfId="0" applyFont="1" applyBorder="1"/>
    <xf numFmtId="42" fontId="2" fillId="0" borderId="2" xfId="0" applyNumberFormat="1" applyFont="1" applyBorder="1"/>
    <xf numFmtId="5" fontId="2" fillId="0" borderId="3" xfId="0" applyNumberFormat="1" applyFont="1" applyBorder="1"/>
    <xf numFmtId="164" fontId="2" fillId="0" borderId="3" xfId="0" applyNumberFormat="1" applyFont="1" applyBorder="1"/>
    <xf numFmtId="168" fontId="2" fillId="0" borderId="0" xfId="0" applyNumberFormat="1" applyFont="1" applyBorder="1"/>
    <xf numFmtId="0" fontId="2" fillId="0" borderId="4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5" fontId="7" fillId="0" borderId="0" xfId="0" applyNumberFormat="1" applyFont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5" fontId="7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5" fontId="2" fillId="0" borderId="0" xfId="0" applyNumberFormat="1" applyFont="1"/>
    <xf numFmtId="164" fontId="0" fillId="0" borderId="0" xfId="0" applyNumberFormat="1"/>
    <xf numFmtId="0" fontId="7" fillId="0" borderId="0" xfId="0" applyFont="1"/>
    <xf numFmtId="165" fontId="7" fillId="0" borderId="0" xfId="0" applyNumberFormat="1" applyFont="1"/>
    <xf numFmtId="167" fontId="0" fillId="0" borderId="0" xfId="0" applyNumberFormat="1"/>
    <xf numFmtId="0" fontId="8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4" fillId="0" borderId="0" xfId="0" applyFont="1" applyAlignment="1">
      <alignment horizontal="center" wrapText="1"/>
    </xf>
    <xf numFmtId="0" fontId="12" fillId="0" borderId="0" xfId="2" applyAlignment="1">
      <alignment horizontal="center" wrapText="1"/>
    </xf>
    <xf numFmtId="0" fontId="0" fillId="0" borderId="0" xfId="0" applyFill="1"/>
    <xf numFmtId="165" fontId="0" fillId="0" borderId="0" xfId="0" applyNumberFormat="1" applyFill="1"/>
    <xf numFmtId="0" fontId="2" fillId="0" borderId="0" xfId="0" applyFont="1" applyFill="1"/>
    <xf numFmtId="167" fontId="0" fillId="0" borderId="0" xfId="0" applyNumberFormat="1" applyFill="1"/>
    <xf numFmtId="165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44" fontId="0" fillId="0" borderId="0" xfId="1" applyFont="1"/>
    <xf numFmtId="10" fontId="0" fillId="0" borderId="0" xfId="3" applyNumberFormat="1" applyFont="1"/>
    <xf numFmtId="2" fontId="2" fillId="0" borderId="0" xfId="0" applyNumberFormat="1" applyFont="1" applyAlignment="1">
      <alignment horizontal="center"/>
    </xf>
    <xf numFmtId="44" fontId="0" fillId="0" borderId="2" xfId="1" applyFont="1" applyBorder="1"/>
    <xf numFmtId="2" fontId="7" fillId="0" borderId="0" xfId="0" applyNumberFormat="1" applyFont="1" applyFill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14" fontId="0" fillId="0" borderId="2" xfId="0" applyNumberFormat="1" applyBorder="1"/>
    <xf numFmtId="164" fontId="4" fillId="0" borderId="0" xfId="0" applyNumberFormat="1" applyFont="1" applyAlignment="1">
      <alignment horizontal="center"/>
    </xf>
    <xf numFmtId="0" fontId="17" fillId="2" borderId="5" xfId="0" applyFont="1" applyFill="1" applyBorder="1"/>
    <xf numFmtId="0" fontId="17" fillId="2" borderId="6" xfId="0" applyFont="1" applyFill="1" applyBorder="1"/>
    <xf numFmtId="44" fontId="11" fillId="2" borderId="7" xfId="1" applyFont="1" applyFill="1" applyBorder="1"/>
    <xf numFmtId="0" fontId="0" fillId="2" borderId="8" xfId="0" applyFill="1" applyBorder="1"/>
    <xf numFmtId="44" fontId="17" fillId="2" borderId="0" xfId="1" applyFont="1" applyFill="1" applyBorder="1"/>
    <xf numFmtId="0" fontId="17" fillId="2" borderId="0" xfId="0" applyFont="1" applyFill="1" applyBorder="1"/>
    <xf numFmtId="44" fontId="11" fillId="2" borderId="9" xfId="1" applyFont="1" applyFill="1" applyBorder="1"/>
    <xf numFmtId="0" fontId="18" fillId="2" borderId="8" xfId="0" applyFont="1" applyFill="1" applyBorder="1"/>
    <xf numFmtId="0" fontId="17" fillId="2" borderId="10" xfId="0" applyFont="1" applyFill="1" applyBorder="1"/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7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/>
    <xf numFmtId="44" fontId="11" fillId="2" borderId="0" xfId="1" applyFont="1" applyFill="1" applyBorder="1" applyAlignment="1">
      <alignment horizontal="center"/>
    </xf>
    <xf numFmtId="10" fontId="11" fillId="2" borderId="0" xfId="3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11" xfId="0" applyFont="1" applyFill="1" applyBorder="1"/>
    <xf numFmtId="44" fontId="11" fillId="2" borderId="2" xfId="1" applyFont="1" applyFill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/>
    </xf>
    <xf numFmtId="10" fontId="11" fillId="2" borderId="1" xfId="3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11" fillId="2" borderId="12" xfId="1" applyFont="1" applyFill="1" applyBorder="1" applyAlignment="1">
      <alignment horizontal="center"/>
    </xf>
    <xf numFmtId="10" fontId="11" fillId="2" borderId="12" xfId="3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11" fillId="2" borderId="13" xfId="1" applyNumberFormat="1" applyFont="1" applyFill="1" applyBorder="1" applyAlignment="1">
      <alignment horizontal="center"/>
    </xf>
    <xf numFmtId="10" fontId="11" fillId="2" borderId="14" xfId="3" applyNumberFormat="1" applyFont="1" applyFill="1" applyBorder="1" applyAlignment="1">
      <alignment horizontal="center"/>
    </xf>
    <xf numFmtId="165" fontId="11" fillId="2" borderId="14" xfId="1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5" fontId="11" fillId="2" borderId="15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9" fillId="0" borderId="0" xfId="2" applyFont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</xdr:row>
      <xdr:rowOff>47625</xdr:rowOff>
    </xdr:from>
    <xdr:to>
      <xdr:col>0</xdr:col>
      <xdr:colOff>2762250</xdr:colOff>
      <xdr:row>3</xdr:row>
      <xdr:rowOff>981075</xdr:rowOff>
    </xdr:to>
    <xdr:pic>
      <xdr:nvPicPr>
        <xdr:cNvPr id="1134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9550"/>
          <a:ext cx="2343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</xdr:row>
      <xdr:rowOff>47625</xdr:rowOff>
    </xdr:from>
    <xdr:to>
      <xdr:col>0</xdr:col>
      <xdr:colOff>2762250</xdr:colOff>
      <xdr:row>3</xdr:row>
      <xdr:rowOff>981075</xdr:rowOff>
    </xdr:to>
    <xdr:pic>
      <xdr:nvPicPr>
        <xdr:cNvPr id="2054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9550"/>
          <a:ext cx="2343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bd.org/contac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43" customWidth="1"/>
    <col min="2" max="2" width="27.85546875" customWidth="1"/>
    <col min="3" max="3" width="2.7109375" customWidth="1"/>
    <col min="4" max="4" width="28.42578125" customWidth="1"/>
    <col min="5" max="5" width="13.140625" customWidth="1"/>
    <col min="6" max="6" width="19.7109375" bestFit="1" customWidth="1"/>
    <col min="7" max="7" width="20" customWidth="1"/>
    <col min="8" max="8" width="13.42578125" bestFit="1" customWidth="1"/>
    <col min="10" max="10" width="10.140625" bestFit="1" customWidth="1"/>
  </cols>
  <sheetData>
    <row r="1" spans="1:7" ht="13.15" customHeight="1" x14ac:dyDescent="0.25">
      <c r="A1" s="8"/>
      <c r="D1" s="18"/>
      <c r="E1" s="25"/>
      <c r="F1" s="25"/>
    </row>
    <row r="2" spans="1:7" hidden="1" x14ac:dyDescent="0.2">
      <c r="A2" s="2"/>
      <c r="D2" s="18"/>
    </row>
    <row r="3" spans="1:7" hidden="1" x14ac:dyDescent="0.2">
      <c r="A3" s="2"/>
      <c r="D3" s="24"/>
    </row>
    <row r="4" spans="1:7" ht="94.9" customHeight="1" x14ac:dyDescent="0.25">
      <c r="A4" s="54"/>
      <c r="D4" s="105" t="s">
        <v>81</v>
      </c>
    </row>
    <row r="5" spans="1:7" ht="15.6" customHeight="1" x14ac:dyDescent="0.25">
      <c r="A5" s="54" t="s">
        <v>41</v>
      </c>
      <c r="D5" s="56"/>
    </row>
    <row r="6" spans="1:7" ht="15.6" customHeight="1" x14ac:dyDescent="0.25">
      <c r="A6" s="54" t="s">
        <v>52</v>
      </c>
      <c r="D6" s="56"/>
    </row>
    <row r="7" spans="1:7" ht="15.75" x14ac:dyDescent="0.25">
      <c r="A7" s="54" t="s">
        <v>76</v>
      </c>
      <c r="D7" s="56"/>
    </row>
    <row r="8" spans="1:7" x14ac:dyDescent="0.2">
      <c r="A8" s="27"/>
      <c r="B8" s="70"/>
      <c r="C8" s="7"/>
      <c r="D8" s="67"/>
      <c r="E8" s="65"/>
      <c r="F8" s="64"/>
      <c r="G8" s="64"/>
    </row>
    <row r="9" spans="1:7" ht="15.75" x14ac:dyDescent="0.25">
      <c r="A9" s="72" t="s">
        <v>66</v>
      </c>
      <c r="B9" s="73"/>
      <c r="C9" s="73"/>
      <c r="D9" s="74"/>
      <c r="E9" s="65"/>
      <c r="F9" s="64"/>
      <c r="G9" s="64"/>
    </row>
    <row r="10" spans="1:7" ht="16.5" thickBot="1" x14ac:dyDescent="0.3">
      <c r="A10" s="75"/>
      <c r="B10" s="76"/>
      <c r="C10" s="77"/>
      <c r="D10" s="78"/>
      <c r="E10" s="65"/>
      <c r="F10" s="64"/>
      <c r="G10" s="64"/>
    </row>
    <row r="11" spans="1:7" ht="16.5" thickBot="1" x14ac:dyDescent="0.3">
      <c r="A11" s="79" t="s">
        <v>79</v>
      </c>
      <c r="B11" s="80"/>
      <c r="C11" s="77"/>
      <c r="D11" s="78"/>
      <c r="E11" s="65"/>
      <c r="F11" s="64"/>
      <c r="G11" s="64"/>
    </row>
    <row r="12" spans="1:7" ht="31.5" x14ac:dyDescent="0.2">
      <c r="A12" s="75"/>
      <c r="B12" s="81" t="s">
        <v>68</v>
      </c>
      <c r="C12" s="82"/>
      <c r="D12" s="83" t="s">
        <v>73</v>
      </c>
      <c r="E12" s="65"/>
      <c r="F12" s="64"/>
      <c r="G12" s="64"/>
    </row>
    <row r="13" spans="1:7" ht="15" x14ac:dyDescent="0.25">
      <c r="A13" s="84" t="s">
        <v>69</v>
      </c>
      <c r="B13" s="90"/>
      <c r="C13" s="85"/>
      <c r="D13" s="90"/>
      <c r="E13" s="65"/>
      <c r="F13" s="64"/>
      <c r="G13" s="64"/>
    </row>
    <row r="14" spans="1:7" ht="15" x14ac:dyDescent="0.25">
      <c r="A14" s="84" t="s">
        <v>70</v>
      </c>
      <c r="B14" s="91"/>
      <c r="C14" s="86"/>
      <c r="D14" s="91"/>
      <c r="E14" s="65"/>
      <c r="F14" s="64"/>
      <c r="G14" s="64"/>
    </row>
    <row r="15" spans="1:7" ht="15" x14ac:dyDescent="0.25">
      <c r="A15" s="84" t="s">
        <v>71</v>
      </c>
      <c r="B15" s="90"/>
      <c r="C15" s="85"/>
      <c r="D15" s="90"/>
      <c r="E15" s="65"/>
      <c r="F15" s="64"/>
      <c r="G15" s="64"/>
    </row>
    <row r="16" spans="1:7" ht="15" x14ac:dyDescent="0.25">
      <c r="A16" s="84" t="s">
        <v>80</v>
      </c>
      <c r="B16" s="92"/>
      <c r="C16" s="87"/>
      <c r="D16" s="92"/>
      <c r="E16" s="65"/>
      <c r="F16" s="64"/>
      <c r="G16" s="64"/>
    </row>
    <row r="17" spans="1:8" ht="15" x14ac:dyDescent="0.25">
      <c r="A17" s="88" t="s">
        <v>72</v>
      </c>
      <c r="B17" s="90"/>
      <c r="C17" s="89"/>
      <c r="D17" s="90"/>
      <c r="E17" s="65"/>
      <c r="F17" s="64"/>
      <c r="G17" s="64"/>
    </row>
    <row r="18" spans="1:8" x14ac:dyDescent="0.2">
      <c r="A18" s="18" t="s">
        <v>78</v>
      </c>
      <c r="B18" s="25"/>
      <c r="D18" s="64"/>
      <c r="E18" s="65"/>
      <c r="F18" s="64"/>
      <c r="G18" s="64"/>
    </row>
    <row r="19" spans="1:8" x14ac:dyDescent="0.2">
      <c r="A19" s="18" t="s">
        <v>77</v>
      </c>
      <c r="B19" s="25"/>
      <c r="D19" s="64"/>
      <c r="E19" s="65"/>
      <c r="F19" s="64"/>
      <c r="G19" s="64"/>
    </row>
    <row r="20" spans="1:8" x14ac:dyDescent="0.2">
      <c r="A20" s="2"/>
      <c r="B20" s="25"/>
      <c r="D20" s="64"/>
      <c r="E20" s="65"/>
      <c r="F20" s="64"/>
      <c r="G20" s="64"/>
    </row>
    <row r="21" spans="1:8" ht="16.899999999999999" customHeight="1" x14ac:dyDescent="0.2">
      <c r="A21" s="27" t="s">
        <v>12</v>
      </c>
      <c r="B21" s="28"/>
      <c r="C21" s="2"/>
      <c r="D21" s="27" t="s">
        <v>13</v>
      </c>
      <c r="E21" s="7"/>
      <c r="F21" s="7"/>
    </row>
    <row r="22" spans="1:8" x14ac:dyDescent="0.2">
      <c r="A22" s="18" t="s">
        <v>54</v>
      </c>
      <c r="B22" s="13">
        <f>((B23+B24+B25)/0.85)-B23-B24-B25</f>
        <v>0</v>
      </c>
      <c r="D22" s="18" t="s">
        <v>52</v>
      </c>
      <c r="E22" s="13">
        <f>B27*0.45</f>
        <v>0</v>
      </c>
      <c r="F22" s="1" t="e">
        <f>E22/E27</f>
        <v>#DIV/0!</v>
      </c>
    </row>
    <row r="23" spans="1:8" x14ac:dyDescent="0.2">
      <c r="A23" s="63" t="s">
        <v>55</v>
      </c>
      <c r="B23" s="13">
        <f>B13</f>
        <v>0</v>
      </c>
      <c r="E23" s="13"/>
      <c r="F23" s="1"/>
    </row>
    <row r="24" spans="1:8" x14ac:dyDescent="0.2">
      <c r="A24" s="63" t="s">
        <v>56</v>
      </c>
      <c r="B24" s="20">
        <f>D13</f>
        <v>0</v>
      </c>
      <c r="D24" s="18" t="s">
        <v>39</v>
      </c>
      <c r="E24" s="20">
        <f>B27*0.4</f>
        <v>0</v>
      </c>
      <c r="F24" s="21" t="e">
        <f>E24/E27</f>
        <v>#DIV/0!</v>
      </c>
      <c r="H24" s="50"/>
    </row>
    <row r="25" spans="1:8" x14ac:dyDescent="0.2">
      <c r="A25" s="63" t="s">
        <v>57</v>
      </c>
      <c r="B25" s="20">
        <f>(B24+B23)*0.005+D17+B17</f>
        <v>0</v>
      </c>
      <c r="D25" s="18"/>
      <c r="E25" s="20"/>
      <c r="F25" s="21"/>
      <c r="H25" s="50"/>
    </row>
    <row r="26" spans="1:8" x14ac:dyDescent="0.2">
      <c r="A26" s="18"/>
      <c r="B26" s="13"/>
      <c r="D26" s="18" t="s">
        <v>51</v>
      </c>
      <c r="E26" s="20">
        <f>B27*0.15</f>
        <v>0</v>
      </c>
      <c r="F26" s="21" t="e">
        <f>E26/E27</f>
        <v>#DIV/0!</v>
      </c>
    </row>
    <row r="27" spans="1:8" ht="13.5" thickBot="1" x14ac:dyDescent="0.25">
      <c r="A27" s="2" t="s">
        <v>0</v>
      </c>
      <c r="B27" s="29">
        <f>SUM(B22:B26)</f>
        <v>0</v>
      </c>
      <c r="C27" s="2"/>
      <c r="D27" s="2"/>
      <c r="E27" s="30">
        <f>SUM(E22:E26)</f>
        <v>0</v>
      </c>
      <c r="F27" s="3" t="e">
        <f>SUM(F22:F26)</f>
        <v>#DIV/0!</v>
      </c>
      <c r="H27" s="23"/>
    </row>
    <row r="28" spans="1:8" ht="13.5" thickTop="1" x14ac:dyDescent="0.2">
      <c r="A28" s="48"/>
      <c r="B28" s="12"/>
      <c r="C28" s="2"/>
      <c r="D28" s="2"/>
      <c r="E28" s="14"/>
      <c r="F28" s="3"/>
      <c r="H28" s="23"/>
    </row>
    <row r="29" spans="1:8" hidden="1" x14ac:dyDescent="0.2">
      <c r="A29" s="48"/>
      <c r="B29" s="12"/>
      <c r="C29" s="2"/>
      <c r="D29" s="2"/>
      <c r="E29" s="14"/>
      <c r="F29" s="3"/>
      <c r="H29" s="23"/>
    </row>
    <row r="30" spans="1:8" hidden="1" x14ac:dyDescent="0.2">
      <c r="A30" s="51"/>
      <c r="B30" s="12"/>
      <c r="C30" s="2"/>
      <c r="D30" s="2"/>
      <c r="E30" s="14"/>
      <c r="F30" s="3"/>
      <c r="H30" s="23"/>
    </row>
    <row r="31" spans="1:8" hidden="1" x14ac:dyDescent="0.2">
      <c r="A31" s="48"/>
      <c r="B31" s="19"/>
      <c r="C31" s="18"/>
      <c r="D31" s="18"/>
      <c r="E31" s="20"/>
      <c r="F31" s="21"/>
    </row>
    <row r="32" spans="1:8" hidden="1" x14ac:dyDescent="0.2">
      <c r="A32" s="48"/>
      <c r="B32" s="19"/>
      <c r="C32" s="18"/>
      <c r="D32" s="18"/>
      <c r="E32" s="20"/>
      <c r="F32" s="21"/>
    </row>
    <row r="33" spans="1:10" hidden="1" x14ac:dyDescent="0.2">
      <c r="A33" s="48"/>
      <c r="B33" s="19"/>
      <c r="C33" s="18"/>
      <c r="D33" s="18"/>
      <c r="E33" s="20"/>
      <c r="F33" s="21"/>
    </row>
    <row r="34" spans="1:10" x14ac:dyDescent="0.2">
      <c r="A34" s="22"/>
      <c r="B34" s="22"/>
      <c r="C34" s="22"/>
      <c r="D34" s="22"/>
      <c r="E34" s="22"/>
      <c r="F34" s="22"/>
    </row>
    <row r="35" spans="1:10" x14ac:dyDescent="0.2">
      <c r="H35" s="47"/>
      <c r="J35" s="47"/>
    </row>
    <row r="36" spans="1:10" x14ac:dyDescent="0.2">
      <c r="A36" s="2" t="s">
        <v>2</v>
      </c>
    </row>
    <row r="37" spans="1:10" hidden="1" x14ac:dyDescent="0.2">
      <c r="A37" s="2"/>
    </row>
    <row r="38" spans="1:10" x14ac:dyDescent="0.2">
      <c r="A38" t="s">
        <v>3</v>
      </c>
      <c r="B38" s="5">
        <f>E24</f>
        <v>0</v>
      </c>
    </row>
    <row r="39" spans="1:10" x14ac:dyDescent="0.2">
      <c r="B39" s="4"/>
    </row>
    <row r="40" spans="1:10" x14ac:dyDescent="0.2">
      <c r="A40" t="s">
        <v>15</v>
      </c>
      <c r="B40" s="4">
        <f>B38*0.0025</f>
        <v>0</v>
      </c>
      <c r="D40" t="s">
        <v>8</v>
      </c>
    </row>
    <row r="41" spans="1:10" x14ac:dyDescent="0.2">
      <c r="A41" s="48" t="s">
        <v>22</v>
      </c>
      <c r="B41" s="49">
        <f>B38*0.005</f>
        <v>0</v>
      </c>
      <c r="C41" s="48"/>
      <c r="D41" s="48" t="s">
        <v>26</v>
      </c>
      <c r="E41" s="2"/>
    </row>
    <row r="42" spans="1:10" s="57" customFormat="1" x14ac:dyDescent="0.2">
      <c r="A42" s="57" t="s">
        <v>23</v>
      </c>
      <c r="B42" s="58">
        <f>B38*0.015</f>
        <v>0</v>
      </c>
      <c r="D42" s="57" t="s">
        <v>19</v>
      </c>
      <c r="E42" s="59"/>
      <c r="G42" s="60"/>
      <c r="H42" s="60"/>
    </row>
    <row r="43" spans="1:10" x14ac:dyDescent="0.2">
      <c r="A43" t="s">
        <v>24</v>
      </c>
      <c r="B43" s="4">
        <v>2500</v>
      </c>
      <c r="D43" t="s">
        <v>9</v>
      </c>
    </row>
    <row r="44" spans="1:10" x14ac:dyDescent="0.2">
      <c r="A44" t="s">
        <v>25</v>
      </c>
      <c r="B44" s="4">
        <f>D82</f>
        <v>12</v>
      </c>
      <c r="D44" t="s">
        <v>11</v>
      </c>
    </row>
    <row r="45" spans="1:10" x14ac:dyDescent="0.2">
      <c r="A45" t="s">
        <v>0</v>
      </c>
      <c r="B45" s="4">
        <f>SUM(B38:B44)</f>
        <v>2512</v>
      </c>
    </row>
    <row r="46" spans="1:10" x14ac:dyDescent="0.2">
      <c r="B46" s="4"/>
    </row>
    <row r="47" spans="1:10" x14ac:dyDescent="0.2">
      <c r="A47" t="s">
        <v>7</v>
      </c>
      <c r="B47" s="5">
        <f>ROUNDUP(B45,-3)</f>
        <v>3000</v>
      </c>
      <c r="C47" t="s">
        <v>14</v>
      </c>
      <c r="D47" s="9" t="s">
        <v>10</v>
      </c>
      <c r="E47" s="4">
        <f>B47-B45</f>
        <v>488</v>
      </c>
    </row>
    <row r="48" spans="1:10" ht="15" customHeight="1" x14ac:dyDescent="0.2">
      <c r="A48" s="17" t="s">
        <v>20</v>
      </c>
      <c r="B48" s="16"/>
      <c r="C48" s="7"/>
      <c r="D48" s="7"/>
      <c r="E48" s="7"/>
      <c r="F48" s="7"/>
      <c r="H48" s="4"/>
    </row>
    <row r="49" spans="1:8" x14ac:dyDescent="0.2">
      <c r="A49" s="15"/>
      <c r="B49" s="6"/>
      <c r="C49" s="15"/>
      <c r="D49" s="15"/>
      <c r="E49" s="15"/>
      <c r="F49" s="15"/>
    </row>
    <row r="50" spans="1:8" x14ac:dyDescent="0.2">
      <c r="A50" s="2" t="s">
        <v>43</v>
      </c>
      <c r="B50" s="6"/>
    </row>
    <row r="51" spans="1:8" s="57" customFormat="1" x14ac:dyDescent="0.2">
      <c r="A51" s="57" t="s">
        <v>42</v>
      </c>
      <c r="B51" s="61">
        <f>E22*0.005</f>
        <v>0</v>
      </c>
      <c r="D51" s="62" t="s">
        <v>53</v>
      </c>
      <c r="G51" s="60"/>
    </row>
    <row r="52" spans="1:8" x14ac:dyDescent="0.2">
      <c r="A52" t="s">
        <v>21</v>
      </c>
      <c r="B52" s="10">
        <v>2100</v>
      </c>
      <c r="D52" s="18" t="s">
        <v>50</v>
      </c>
      <c r="H52" s="4"/>
    </row>
    <row r="53" spans="1:8" x14ac:dyDescent="0.2">
      <c r="A53" t="s">
        <v>27</v>
      </c>
      <c r="B53" s="10">
        <v>2500</v>
      </c>
      <c r="D53" s="18" t="s">
        <v>48</v>
      </c>
    </row>
    <row r="54" spans="1:8" x14ac:dyDescent="0.2">
      <c r="A54" s="18" t="s">
        <v>59</v>
      </c>
      <c r="B54" s="26">
        <f>B25-B51-B52-B53</f>
        <v>-4600</v>
      </c>
      <c r="D54" t="s">
        <v>28</v>
      </c>
    </row>
    <row r="55" spans="1:8" x14ac:dyDescent="0.2">
      <c r="A55" s="18" t="s">
        <v>1</v>
      </c>
      <c r="B55" s="6">
        <f>SUM(B51:B54)</f>
        <v>0</v>
      </c>
    </row>
    <row r="56" spans="1:8" x14ac:dyDescent="0.2">
      <c r="B56" s="6"/>
    </row>
    <row r="57" spans="1:8" x14ac:dyDescent="0.2">
      <c r="A57" s="18" t="s">
        <v>29</v>
      </c>
      <c r="B57" s="6"/>
    </row>
    <row r="58" spans="1:8" x14ac:dyDescent="0.2">
      <c r="A58" s="2" t="s">
        <v>31</v>
      </c>
      <c r="B58" s="31">
        <v>2.9069999999999999E-2</v>
      </c>
      <c r="C58" s="18" t="s">
        <v>14</v>
      </c>
    </row>
    <row r="59" spans="1:8" x14ac:dyDescent="0.2">
      <c r="A59" s="101" t="s">
        <v>30</v>
      </c>
      <c r="B59" s="101"/>
      <c r="C59" s="101"/>
      <c r="D59" s="101"/>
      <c r="E59" s="101"/>
      <c r="F59" s="101"/>
    </row>
    <row r="60" spans="1:8" x14ac:dyDescent="0.2">
      <c r="A60" s="101"/>
      <c r="B60" s="101"/>
      <c r="C60" s="101"/>
      <c r="D60" s="101"/>
      <c r="E60" s="101"/>
      <c r="F60" s="101"/>
    </row>
    <row r="61" spans="1:8" x14ac:dyDescent="0.2">
      <c r="B61" s="11"/>
      <c r="E61" s="13"/>
      <c r="F61" s="1"/>
    </row>
    <row r="62" spans="1:8" ht="13.5" thickBot="1" x14ac:dyDescent="0.25">
      <c r="A62" s="32" t="s">
        <v>47</v>
      </c>
      <c r="B62" s="32" t="s">
        <v>32</v>
      </c>
      <c r="C62" s="32"/>
      <c r="D62" s="32" t="s">
        <v>33</v>
      </c>
      <c r="E62" s="32" t="s">
        <v>34</v>
      </c>
      <c r="F62" s="32" t="s">
        <v>35</v>
      </c>
      <c r="G62" s="32" t="s">
        <v>36</v>
      </c>
    </row>
    <row r="63" spans="1:8" x14ac:dyDescent="0.2">
      <c r="A63" s="33" t="s">
        <v>58</v>
      </c>
      <c r="B63" s="33">
        <f>E22</f>
        <v>0</v>
      </c>
      <c r="C63" s="34"/>
      <c r="D63" s="35">
        <v>25</v>
      </c>
      <c r="E63" s="36">
        <v>4.65E-2</v>
      </c>
      <c r="F63" s="37">
        <f>-PMT(E63/12,D63*12,B63)</f>
        <v>0</v>
      </c>
      <c r="G63" s="37">
        <f>F63*12</f>
        <v>0</v>
      </c>
    </row>
    <row r="64" spans="1:8" ht="13.5" thickBot="1" x14ac:dyDescent="0.25">
      <c r="A64" s="38" t="s">
        <v>49</v>
      </c>
      <c r="B64" s="39">
        <f>B47</f>
        <v>3000</v>
      </c>
      <c r="C64" s="40"/>
      <c r="D64" s="41">
        <v>25</v>
      </c>
      <c r="E64" s="42">
        <f>B58</f>
        <v>2.9069999999999999E-2</v>
      </c>
      <c r="F64" s="43">
        <f>-PMT(E64/12,D64*12,B64)</f>
        <v>14.081650735891333</v>
      </c>
      <c r="G64" s="43">
        <f>F64*12</f>
        <v>168.97980883069602</v>
      </c>
    </row>
    <row r="65" spans="1:7" x14ac:dyDescent="0.2">
      <c r="A65" s="102" t="s">
        <v>40</v>
      </c>
      <c r="B65" s="102"/>
      <c r="C65" s="102"/>
      <c r="D65" s="102"/>
      <c r="E65" s="102"/>
      <c r="F65" s="44" t="s">
        <v>37</v>
      </c>
      <c r="G65" s="45">
        <f>SUM(G63:G64)</f>
        <v>168.97980883069602</v>
      </c>
    </row>
    <row r="66" spans="1:7" x14ac:dyDescent="0.2">
      <c r="A66" s="103"/>
      <c r="B66" s="103"/>
      <c r="C66" s="103"/>
      <c r="D66" s="103"/>
      <c r="E66" s="103"/>
      <c r="F66" s="3"/>
      <c r="G66" s="46"/>
    </row>
    <row r="67" spans="1:7" hidden="1" x14ac:dyDescent="0.2">
      <c r="A67" s="104"/>
      <c r="B67" s="104"/>
      <c r="C67" s="104"/>
      <c r="D67" s="104"/>
      <c r="E67" s="104"/>
      <c r="F67" s="104"/>
      <c r="G67" s="104"/>
    </row>
    <row r="68" spans="1:7" hidden="1" x14ac:dyDescent="0.2">
      <c r="A68" s="104"/>
      <c r="B68" s="104"/>
      <c r="C68" s="104"/>
      <c r="D68" s="104"/>
      <c r="E68" s="104"/>
      <c r="F68" s="104"/>
      <c r="G68" s="104"/>
    </row>
    <row r="69" spans="1:7" ht="15" x14ac:dyDescent="0.2">
      <c r="A69" s="2"/>
      <c r="B69" s="53"/>
      <c r="C69" s="2"/>
      <c r="D69" s="2"/>
      <c r="E69" s="2"/>
      <c r="F69" s="2" t="s">
        <v>61</v>
      </c>
      <c r="G69" s="45">
        <f>(B15+D15)*12</f>
        <v>0</v>
      </c>
    </row>
    <row r="70" spans="1:7" ht="15" x14ac:dyDescent="0.2">
      <c r="A70" s="2"/>
      <c r="B70" s="53"/>
      <c r="C70" s="2"/>
      <c r="D70" s="2"/>
      <c r="E70" s="2"/>
      <c r="F70" s="2" t="s">
        <v>60</v>
      </c>
      <c r="G70" s="45">
        <f>G69-G65</f>
        <v>-168.97980883069602</v>
      </c>
    </row>
    <row r="71" spans="1:7" ht="13.15" hidden="1" customHeight="1" x14ac:dyDescent="0.2">
      <c r="B71" s="52" t="s">
        <v>44</v>
      </c>
    </row>
    <row r="72" spans="1:7" hidden="1" x14ac:dyDescent="0.2">
      <c r="A72" t="s">
        <v>3</v>
      </c>
      <c r="D72" s="4">
        <f>E24</f>
        <v>0</v>
      </c>
    </row>
    <row r="73" spans="1:7" hidden="1" x14ac:dyDescent="0.2">
      <c r="A73" t="s">
        <v>38</v>
      </c>
      <c r="D73" s="4">
        <f>D72*0.005</f>
        <v>0</v>
      </c>
    </row>
    <row r="74" spans="1:7" hidden="1" x14ac:dyDescent="0.2">
      <c r="A74" t="s">
        <v>15</v>
      </c>
      <c r="D74" s="4">
        <f>B38*0.0025</f>
        <v>0</v>
      </c>
    </row>
    <row r="75" spans="1:7" hidden="1" x14ac:dyDescent="0.2">
      <c r="A75" t="s">
        <v>16</v>
      </c>
      <c r="D75" s="4">
        <f>B38*0.015</f>
        <v>0</v>
      </c>
    </row>
    <row r="76" spans="1:7" hidden="1" x14ac:dyDescent="0.2">
      <c r="A76" t="s">
        <v>17</v>
      </c>
      <c r="D76" s="4">
        <v>2500</v>
      </c>
    </row>
    <row r="77" spans="1:7" hidden="1" x14ac:dyDescent="0.2">
      <c r="D77" s="4"/>
    </row>
    <row r="78" spans="1:7" hidden="1" x14ac:dyDescent="0.2">
      <c r="A78" t="s">
        <v>4</v>
      </c>
      <c r="D78" s="4">
        <f>SUM(D72:D77)</f>
        <v>2500</v>
      </c>
    </row>
    <row r="79" spans="1:7" hidden="1" x14ac:dyDescent="0.2">
      <c r="D79" s="4"/>
    </row>
    <row r="80" spans="1:7" hidden="1" x14ac:dyDescent="0.2">
      <c r="A80" t="s">
        <v>5</v>
      </c>
      <c r="B80" s="4">
        <f>D78/0.996</f>
        <v>2510.0401606425703</v>
      </c>
      <c r="D80" s="4"/>
    </row>
    <row r="81" spans="1:7" hidden="1" x14ac:dyDescent="0.2">
      <c r="A81" t="s">
        <v>6</v>
      </c>
      <c r="B81" s="4">
        <f>ROUNDUP(B80,-3)</f>
        <v>3000</v>
      </c>
      <c r="D81" s="4"/>
    </row>
    <row r="82" spans="1:7" hidden="1" x14ac:dyDescent="0.2">
      <c r="A82" t="s">
        <v>18</v>
      </c>
      <c r="B82" s="4"/>
      <c r="D82" s="4">
        <f>B81*0.004</f>
        <v>12</v>
      </c>
    </row>
    <row r="83" spans="1:7" hidden="1" x14ac:dyDescent="0.2">
      <c r="A83" t="s">
        <v>4</v>
      </c>
      <c r="B83" s="4"/>
      <c r="D83" s="4">
        <f>SUM(D78:D82)</f>
        <v>2512</v>
      </c>
    </row>
    <row r="84" spans="1:7" hidden="1" x14ac:dyDescent="0.2">
      <c r="A84" t="s">
        <v>6</v>
      </c>
      <c r="B84" s="4"/>
      <c r="D84" s="5">
        <f>ROUNDUP(D83,-3)</f>
        <v>3000</v>
      </c>
      <c r="E84" s="2" t="s">
        <v>7</v>
      </c>
    </row>
    <row r="85" spans="1:7" hidden="1" x14ac:dyDescent="0.2">
      <c r="B85" s="4"/>
    </row>
    <row r="86" spans="1:7" x14ac:dyDescent="0.2">
      <c r="B86" s="4"/>
    </row>
    <row r="87" spans="1:7" x14ac:dyDescent="0.2">
      <c r="B87" s="4"/>
      <c r="F87" s="2" t="s">
        <v>62</v>
      </c>
      <c r="G87" s="45">
        <f>B55+B44+B43+B42+B41+B40</f>
        <v>2512</v>
      </c>
    </row>
    <row r="88" spans="1:7" x14ac:dyDescent="0.2">
      <c r="B88" s="4"/>
      <c r="F88" s="2" t="s">
        <v>63</v>
      </c>
      <c r="G88" s="66">
        <f>G87/G70</f>
        <v>-14.86568139343097</v>
      </c>
    </row>
    <row r="89" spans="1:7" x14ac:dyDescent="0.2">
      <c r="A89" s="2" t="s">
        <v>65</v>
      </c>
    </row>
    <row r="91" spans="1:7" ht="13.5" thickBot="1" x14ac:dyDescent="0.25">
      <c r="A91" s="32" t="s">
        <v>47</v>
      </c>
      <c r="B91" s="32" t="s">
        <v>32</v>
      </c>
      <c r="C91" s="32"/>
      <c r="D91" s="32" t="s">
        <v>64</v>
      </c>
      <c r="E91" s="32" t="s">
        <v>34</v>
      </c>
      <c r="F91" s="32" t="s">
        <v>35</v>
      </c>
      <c r="G91" s="32" t="s">
        <v>36</v>
      </c>
    </row>
    <row r="92" spans="1:7" x14ac:dyDescent="0.2">
      <c r="A92" s="33" t="s">
        <v>58</v>
      </c>
      <c r="B92" s="33">
        <f>B63</f>
        <v>0</v>
      </c>
      <c r="C92" s="34"/>
      <c r="D92" s="68">
        <f>B16/12</f>
        <v>0</v>
      </c>
      <c r="E92" s="36">
        <v>4.65E-2</v>
      </c>
      <c r="F92" s="37" t="e">
        <f>-PMT(E92/12,D92*12,B92)</f>
        <v>#NUM!</v>
      </c>
      <c r="G92" s="37" t="e">
        <f>F92*12</f>
        <v>#NUM!</v>
      </c>
    </row>
    <row r="93" spans="1:7" ht="13.5" thickBot="1" x14ac:dyDescent="0.25">
      <c r="A93" s="38" t="s">
        <v>49</v>
      </c>
      <c r="B93" s="39">
        <f>B64</f>
        <v>3000</v>
      </c>
      <c r="C93" s="40"/>
      <c r="D93" s="69">
        <f>D16/12</f>
        <v>0</v>
      </c>
      <c r="E93" s="42">
        <v>2.7910000000000001E-2</v>
      </c>
      <c r="F93" s="43" t="e">
        <f>-PMT(E93/12,D93*12,B93)</f>
        <v>#NUM!</v>
      </c>
      <c r="G93" s="43" t="e">
        <f>F93*12</f>
        <v>#NUM!</v>
      </c>
    </row>
    <row r="94" spans="1:7" x14ac:dyDescent="0.2">
      <c r="A94" s="102"/>
      <c r="B94" s="102"/>
      <c r="C94" s="102"/>
      <c r="D94" s="102"/>
      <c r="E94" s="102"/>
      <c r="F94" s="44" t="s">
        <v>37</v>
      </c>
      <c r="G94" s="45" t="e">
        <f>SUM(G92:G93)</f>
        <v>#NUM!</v>
      </c>
    </row>
    <row r="95" spans="1:7" x14ac:dyDescent="0.2">
      <c r="A95" s="103"/>
      <c r="B95" s="103"/>
      <c r="C95" s="103"/>
      <c r="D95" s="103"/>
      <c r="E95" s="103"/>
      <c r="F95" s="3"/>
      <c r="G95" s="46"/>
    </row>
    <row r="96" spans="1:7" ht="15" x14ac:dyDescent="0.2">
      <c r="A96" s="2"/>
      <c r="B96" s="53"/>
      <c r="C96" s="2"/>
      <c r="D96" s="2"/>
      <c r="E96" s="2"/>
      <c r="F96" s="2" t="s">
        <v>61</v>
      </c>
      <c r="G96" s="45">
        <f>G69</f>
        <v>0</v>
      </c>
    </row>
    <row r="97" spans="1:7" ht="15" x14ac:dyDescent="0.2">
      <c r="A97" s="2"/>
      <c r="B97" s="53"/>
      <c r="C97" s="2"/>
      <c r="D97" s="2"/>
      <c r="E97" s="2"/>
      <c r="F97" s="2" t="s">
        <v>60</v>
      </c>
      <c r="G97" s="45" t="e">
        <f>G96-G94</f>
        <v>#NUM!</v>
      </c>
    </row>
    <row r="98" spans="1:7" x14ac:dyDescent="0.2">
      <c r="B98" s="4"/>
    </row>
    <row r="99" spans="1:7" x14ac:dyDescent="0.2">
      <c r="B99" s="4"/>
      <c r="F99" s="2" t="s">
        <v>62</v>
      </c>
      <c r="G99" s="45">
        <f>G87</f>
        <v>2512</v>
      </c>
    </row>
    <row r="100" spans="1:7" x14ac:dyDescent="0.2">
      <c r="B100" s="4"/>
      <c r="F100" s="2" t="s">
        <v>63</v>
      </c>
      <c r="G100" s="66" t="e">
        <f>G99/G97</f>
        <v>#NUM!</v>
      </c>
    </row>
  </sheetData>
  <mergeCells count="4">
    <mergeCell ref="A59:F60"/>
    <mergeCell ref="A65:E66"/>
    <mergeCell ref="A67:G68"/>
    <mergeCell ref="A94:E95"/>
  </mergeCells>
  <hyperlinks>
    <hyperlink ref="D4" r:id="rId1"/>
  </hyperlinks>
  <pageMargins left="0.7" right="0.7" top="0.75" bottom="0.75" header="0.3" footer="0.3"/>
  <pageSetup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="85" zoomScaleNormal="85" workbookViewId="0">
      <selection activeCell="F16" sqref="F16"/>
    </sheetView>
  </sheetViews>
  <sheetFormatPr defaultRowHeight="12.75" x14ac:dyDescent="0.2"/>
  <cols>
    <col min="1" max="1" width="43" customWidth="1"/>
    <col min="2" max="2" width="27.85546875" customWidth="1"/>
    <col min="3" max="3" width="2.7109375" customWidth="1"/>
    <col min="4" max="4" width="28.42578125" customWidth="1"/>
    <col min="5" max="5" width="13.140625" customWidth="1"/>
    <col min="6" max="6" width="19.7109375" bestFit="1" customWidth="1"/>
    <col min="7" max="7" width="20" customWidth="1"/>
    <col min="8" max="8" width="13.42578125" bestFit="1" customWidth="1"/>
    <col min="10" max="10" width="10.140625" bestFit="1" customWidth="1"/>
  </cols>
  <sheetData>
    <row r="1" spans="1:7" ht="13.15" customHeight="1" x14ac:dyDescent="0.25">
      <c r="A1" s="8"/>
      <c r="D1" s="18"/>
      <c r="E1" s="25"/>
      <c r="F1" s="25"/>
    </row>
    <row r="2" spans="1:7" hidden="1" x14ac:dyDescent="0.2">
      <c r="A2" s="2"/>
      <c r="D2" s="18"/>
    </row>
    <row r="3" spans="1:7" hidden="1" x14ac:dyDescent="0.2">
      <c r="A3" s="2"/>
      <c r="D3" s="24"/>
    </row>
    <row r="4" spans="1:7" ht="94.9" customHeight="1" x14ac:dyDescent="0.25">
      <c r="A4" s="54"/>
      <c r="D4" s="55" t="s">
        <v>46</v>
      </c>
    </row>
    <row r="5" spans="1:7" ht="15.6" customHeight="1" x14ac:dyDescent="0.25">
      <c r="A5" s="54" t="s">
        <v>41</v>
      </c>
      <c r="D5" s="56" t="s">
        <v>45</v>
      </c>
    </row>
    <row r="6" spans="1:7" ht="15.6" customHeight="1" x14ac:dyDescent="0.25">
      <c r="A6" s="54" t="s">
        <v>52</v>
      </c>
      <c r="D6" s="56"/>
    </row>
    <row r="7" spans="1:7" ht="15.75" x14ac:dyDescent="0.25">
      <c r="A7" s="54" t="s">
        <v>75</v>
      </c>
      <c r="D7" s="56"/>
    </row>
    <row r="8" spans="1:7" x14ac:dyDescent="0.2">
      <c r="A8" s="27"/>
      <c r="B8" s="70"/>
      <c r="C8" s="7"/>
      <c r="D8" s="67"/>
      <c r="E8" s="65"/>
      <c r="F8" s="64"/>
      <c r="G8" s="64"/>
    </row>
    <row r="9" spans="1:7" ht="15.75" x14ac:dyDescent="0.25">
      <c r="A9" s="72" t="s">
        <v>66</v>
      </c>
      <c r="B9" s="73"/>
      <c r="C9" s="73"/>
      <c r="D9" s="74"/>
      <c r="E9" s="65"/>
      <c r="F9" s="64"/>
      <c r="G9" s="64"/>
    </row>
    <row r="10" spans="1:7" ht="16.5" thickBot="1" x14ac:dyDescent="0.3">
      <c r="A10" s="75"/>
      <c r="B10" s="76"/>
      <c r="C10" s="77"/>
      <c r="D10" s="78"/>
      <c r="E10" s="65"/>
      <c r="F10" s="64"/>
      <c r="G10" s="64"/>
    </row>
    <row r="11" spans="1:7" ht="16.5" thickBot="1" x14ac:dyDescent="0.3">
      <c r="A11" s="79" t="s">
        <v>67</v>
      </c>
      <c r="B11" s="80"/>
      <c r="C11" s="77"/>
      <c r="D11" s="78"/>
      <c r="E11" s="65"/>
      <c r="F11" s="64"/>
      <c r="G11" s="64"/>
    </row>
    <row r="12" spans="1:7" ht="32.25" thickBot="1" x14ac:dyDescent="0.25">
      <c r="A12" s="75"/>
      <c r="B12" s="81" t="s">
        <v>68</v>
      </c>
      <c r="C12" s="82"/>
      <c r="D12" s="83" t="s">
        <v>73</v>
      </c>
      <c r="E12" s="65"/>
      <c r="F12" s="64"/>
      <c r="G12" s="64"/>
    </row>
    <row r="13" spans="1:7" ht="15" x14ac:dyDescent="0.25">
      <c r="A13" s="84" t="s">
        <v>69</v>
      </c>
      <c r="B13" s="96">
        <f>750000-76000</f>
        <v>674000</v>
      </c>
      <c r="C13" s="93"/>
      <c r="D13" s="90">
        <f>600000-71000</f>
        <v>529000</v>
      </c>
      <c r="E13" s="65"/>
      <c r="F13" s="64"/>
      <c r="G13" s="64"/>
    </row>
    <row r="14" spans="1:7" ht="15" x14ac:dyDescent="0.25">
      <c r="A14" s="84" t="s">
        <v>70</v>
      </c>
      <c r="B14" s="97">
        <v>0.05</v>
      </c>
      <c r="C14" s="94"/>
      <c r="D14" s="91">
        <v>4.2000000000000003E-2</v>
      </c>
      <c r="E14" s="65"/>
      <c r="F14" s="64"/>
      <c r="G14" s="64"/>
    </row>
    <row r="15" spans="1:7" ht="15" x14ac:dyDescent="0.25">
      <c r="A15" s="84" t="s">
        <v>71</v>
      </c>
      <c r="B15" s="98">
        <v>4950</v>
      </c>
      <c r="C15" s="93"/>
      <c r="D15" s="90">
        <v>3850</v>
      </c>
      <c r="E15" s="65"/>
      <c r="F15" s="64"/>
      <c r="G15" s="64"/>
    </row>
    <row r="16" spans="1:7" ht="15" x14ac:dyDescent="0.25">
      <c r="A16" s="84" t="s">
        <v>80</v>
      </c>
      <c r="B16" s="99">
        <f>25*12-60</f>
        <v>240</v>
      </c>
      <c r="C16" s="95"/>
      <c r="D16" s="92">
        <f>25*12-60</f>
        <v>240</v>
      </c>
      <c r="E16" s="65"/>
      <c r="F16" s="64"/>
      <c r="G16" s="64"/>
    </row>
    <row r="17" spans="1:8" ht="15.75" thickBot="1" x14ac:dyDescent="0.3">
      <c r="A17" s="88" t="s">
        <v>72</v>
      </c>
      <c r="B17" s="100">
        <f>B13*0.01</f>
        <v>6740</v>
      </c>
      <c r="C17" s="93"/>
      <c r="D17" s="90">
        <f>D13*(D14-0.02)*0.5</f>
        <v>5819.0000000000009</v>
      </c>
      <c r="E17" s="65"/>
      <c r="F17" s="64"/>
      <c r="G17" s="64"/>
    </row>
    <row r="18" spans="1:8" x14ac:dyDescent="0.2">
      <c r="A18" s="18" t="s">
        <v>74</v>
      </c>
      <c r="B18" s="25"/>
      <c r="D18" s="64"/>
      <c r="E18" s="65"/>
      <c r="F18" s="64"/>
      <c r="G18" s="64"/>
    </row>
    <row r="19" spans="1:8" x14ac:dyDescent="0.2">
      <c r="A19" s="2"/>
      <c r="B19" s="25"/>
      <c r="D19" s="64"/>
      <c r="E19" s="65"/>
      <c r="F19" s="64"/>
      <c r="G19" s="64"/>
    </row>
    <row r="20" spans="1:8" x14ac:dyDescent="0.2">
      <c r="A20" s="2"/>
      <c r="B20" s="25"/>
      <c r="D20" s="64"/>
      <c r="E20" s="65"/>
      <c r="F20" s="64"/>
      <c r="G20" s="64"/>
    </row>
    <row r="21" spans="1:8" ht="16.899999999999999" customHeight="1" x14ac:dyDescent="0.2">
      <c r="A21" s="27" t="s">
        <v>12</v>
      </c>
      <c r="B21" s="28"/>
      <c r="C21" s="2"/>
      <c r="D21" s="27" t="s">
        <v>13</v>
      </c>
      <c r="E21" s="7"/>
      <c r="F21" s="7"/>
    </row>
    <row r="22" spans="1:8" x14ac:dyDescent="0.2">
      <c r="A22" s="18" t="s">
        <v>54</v>
      </c>
      <c r="B22" s="13">
        <f>((B23+B24+B25)/0.85)-B23-B24-B25</f>
        <v>215571.8823529412</v>
      </c>
      <c r="D22" s="18" t="s">
        <v>52</v>
      </c>
      <c r="E22" s="13">
        <f>B27*0.45</f>
        <v>646715.64705882361</v>
      </c>
      <c r="F22" s="1">
        <f>E22/E27</f>
        <v>0.45000000000000007</v>
      </c>
    </row>
    <row r="23" spans="1:8" x14ac:dyDescent="0.2">
      <c r="A23" s="63" t="s">
        <v>55</v>
      </c>
      <c r="B23" s="13">
        <f>B13</f>
        <v>674000</v>
      </c>
      <c r="E23" s="13"/>
      <c r="F23" s="1"/>
    </row>
    <row r="24" spans="1:8" x14ac:dyDescent="0.2">
      <c r="A24" s="63" t="s">
        <v>56</v>
      </c>
      <c r="B24" s="20">
        <f>D13</f>
        <v>529000</v>
      </c>
      <c r="D24" s="18" t="s">
        <v>39</v>
      </c>
      <c r="E24" s="20">
        <f>B27*0.4</f>
        <v>574858.3529411765</v>
      </c>
      <c r="F24" s="21">
        <f>E24/E27</f>
        <v>0.4</v>
      </c>
      <c r="H24" s="50"/>
    </row>
    <row r="25" spans="1:8" x14ac:dyDescent="0.2">
      <c r="A25" s="63" t="s">
        <v>57</v>
      </c>
      <c r="B25" s="20">
        <f>(B24+B23)*0.005+D17+B17</f>
        <v>18574</v>
      </c>
      <c r="D25" s="18"/>
      <c r="E25" s="20"/>
      <c r="F25" s="21"/>
      <c r="H25" s="50"/>
    </row>
    <row r="26" spans="1:8" x14ac:dyDescent="0.2">
      <c r="A26" s="18"/>
      <c r="B26" s="13"/>
      <c r="D26" s="18" t="s">
        <v>51</v>
      </c>
      <c r="E26" s="20">
        <f>B27*0.15</f>
        <v>215571.88235294117</v>
      </c>
      <c r="F26" s="21">
        <f>E26/E27</f>
        <v>0.15</v>
      </c>
    </row>
    <row r="27" spans="1:8" ht="13.5" thickBot="1" x14ac:dyDescent="0.25">
      <c r="A27" s="2" t="s">
        <v>0</v>
      </c>
      <c r="B27" s="29">
        <f>SUM(B22:B26)</f>
        <v>1437145.8823529412</v>
      </c>
      <c r="C27" s="2"/>
      <c r="D27" s="2"/>
      <c r="E27" s="30">
        <f>SUM(E22:E26)</f>
        <v>1437145.8823529412</v>
      </c>
      <c r="F27" s="3">
        <f>SUM(F22:F26)</f>
        <v>1</v>
      </c>
      <c r="H27" s="23"/>
    </row>
    <row r="28" spans="1:8" ht="13.5" thickTop="1" x14ac:dyDescent="0.2">
      <c r="A28" s="48"/>
      <c r="B28" s="12"/>
      <c r="C28" s="2"/>
      <c r="D28" s="2"/>
      <c r="E28" s="14"/>
      <c r="F28" s="3"/>
      <c r="H28" s="23"/>
    </row>
    <row r="29" spans="1:8" hidden="1" x14ac:dyDescent="0.2">
      <c r="A29" s="48"/>
      <c r="B29" s="12"/>
      <c r="C29" s="2"/>
      <c r="D29" s="2"/>
      <c r="E29" s="14"/>
      <c r="F29" s="3"/>
      <c r="H29" s="23"/>
    </row>
    <row r="30" spans="1:8" hidden="1" x14ac:dyDescent="0.2">
      <c r="A30" s="51"/>
      <c r="B30" s="12"/>
      <c r="C30" s="2"/>
      <c r="D30" s="2"/>
      <c r="E30" s="14"/>
      <c r="F30" s="3"/>
      <c r="H30" s="23"/>
    </row>
    <row r="31" spans="1:8" hidden="1" x14ac:dyDescent="0.2">
      <c r="A31" s="48"/>
      <c r="B31" s="19"/>
      <c r="C31" s="18"/>
      <c r="D31" s="18"/>
      <c r="E31" s="20"/>
      <c r="F31" s="21"/>
    </row>
    <row r="32" spans="1:8" hidden="1" x14ac:dyDescent="0.2">
      <c r="A32" s="48"/>
      <c r="B32" s="19"/>
      <c r="C32" s="18"/>
      <c r="D32" s="18"/>
      <c r="E32" s="20"/>
      <c r="F32" s="21"/>
    </row>
    <row r="33" spans="1:10" hidden="1" x14ac:dyDescent="0.2">
      <c r="A33" s="48"/>
      <c r="B33" s="19"/>
      <c r="C33" s="18"/>
      <c r="D33" s="18"/>
      <c r="E33" s="20"/>
      <c r="F33" s="21"/>
    </row>
    <row r="34" spans="1:10" x14ac:dyDescent="0.2">
      <c r="A34" s="22"/>
      <c r="B34" s="22"/>
      <c r="C34" s="22"/>
      <c r="D34" s="22"/>
      <c r="E34" s="22"/>
      <c r="F34" s="22"/>
    </row>
    <row r="35" spans="1:10" x14ac:dyDescent="0.2">
      <c r="H35" s="47"/>
      <c r="J35" s="47"/>
    </row>
    <row r="36" spans="1:10" x14ac:dyDescent="0.2">
      <c r="A36" s="2" t="s">
        <v>2</v>
      </c>
    </row>
    <row r="37" spans="1:10" hidden="1" x14ac:dyDescent="0.2">
      <c r="A37" s="2"/>
    </row>
    <row r="38" spans="1:10" x14ac:dyDescent="0.2">
      <c r="A38" t="s">
        <v>3</v>
      </c>
      <c r="B38" s="5">
        <f>E24</f>
        <v>574858.3529411765</v>
      </c>
    </row>
    <row r="39" spans="1:10" x14ac:dyDescent="0.2">
      <c r="B39" s="4"/>
    </row>
    <row r="40" spans="1:10" x14ac:dyDescent="0.2">
      <c r="A40" t="s">
        <v>15</v>
      </c>
      <c r="B40" s="4">
        <f>B38*0.0025</f>
        <v>1437.1458823529413</v>
      </c>
      <c r="D40" t="s">
        <v>8</v>
      </c>
    </row>
    <row r="41" spans="1:10" x14ac:dyDescent="0.2">
      <c r="A41" s="48" t="s">
        <v>22</v>
      </c>
      <c r="B41" s="49">
        <f>B38*0.005</f>
        <v>2874.2917647058825</v>
      </c>
      <c r="C41" s="48"/>
      <c r="D41" s="48" t="s">
        <v>26</v>
      </c>
      <c r="E41" s="2"/>
    </row>
    <row r="42" spans="1:10" s="57" customFormat="1" x14ac:dyDescent="0.2">
      <c r="A42" s="57" t="s">
        <v>23</v>
      </c>
      <c r="B42" s="58">
        <f>B38*0.015</f>
        <v>8622.8752941176481</v>
      </c>
      <c r="D42" s="57" t="s">
        <v>19</v>
      </c>
      <c r="E42" s="59"/>
      <c r="G42" s="60"/>
      <c r="H42" s="60"/>
    </row>
    <row r="43" spans="1:10" x14ac:dyDescent="0.2">
      <c r="A43" t="s">
        <v>24</v>
      </c>
      <c r="B43" s="4">
        <v>2500</v>
      </c>
      <c r="D43" t="s">
        <v>9</v>
      </c>
    </row>
    <row r="44" spans="1:10" x14ac:dyDescent="0.2">
      <c r="A44" t="s">
        <v>25</v>
      </c>
      <c r="B44" s="4">
        <f>D82</f>
        <v>2372</v>
      </c>
      <c r="D44" t="s">
        <v>11</v>
      </c>
    </row>
    <row r="45" spans="1:10" x14ac:dyDescent="0.2">
      <c r="A45" t="s">
        <v>0</v>
      </c>
      <c r="B45" s="4">
        <f>SUM(B38:B44)</f>
        <v>592664.66588235297</v>
      </c>
    </row>
    <row r="46" spans="1:10" x14ac:dyDescent="0.2">
      <c r="B46" s="4"/>
    </row>
    <row r="47" spans="1:10" x14ac:dyDescent="0.2">
      <c r="A47" t="s">
        <v>7</v>
      </c>
      <c r="B47" s="5">
        <f>ROUNDUP(B45,-3)</f>
        <v>593000</v>
      </c>
      <c r="C47" t="s">
        <v>14</v>
      </c>
      <c r="D47" s="9" t="s">
        <v>10</v>
      </c>
      <c r="E47" s="4">
        <f>B47-B45</f>
        <v>335.3341176470276</v>
      </c>
    </row>
    <row r="48" spans="1:10" ht="15" customHeight="1" x14ac:dyDescent="0.2">
      <c r="A48" s="17" t="s">
        <v>20</v>
      </c>
      <c r="B48" s="16"/>
      <c r="C48" s="7"/>
      <c r="D48" s="7"/>
      <c r="E48" s="7"/>
      <c r="F48" s="7"/>
      <c r="H48" s="4"/>
    </row>
    <row r="49" spans="1:8" x14ac:dyDescent="0.2">
      <c r="A49" s="15"/>
      <c r="B49" s="6"/>
      <c r="C49" s="15"/>
      <c r="D49" s="15"/>
      <c r="E49" s="15"/>
      <c r="F49" s="15"/>
    </row>
    <row r="50" spans="1:8" x14ac:dyDescent="0.2">
      <c r="A50" s="2" t="s">
        <v>43</v>
      </c>
      <c r="B50" s="6"/>
    </row>
    <row r="51" spans="1:8" s="57" customFormat="1" x14ac:dyDescent="0.2">
      <c r="A51" s="57" t="s">
        <v>42</v>
      </c>
      <c r="B51" s="61">
        <f>E22*0.005</f>
        <v>3233.5782352941183</v>
      </c>
      <c r="D51" s="62" t="s">
        <v>53</v>
      </c>
      <c r="G51" s="60"/>
    </row>
    <row r="52" spans="1:8" x14ac:dyDescent="0.2">
      <c r="A52" t="s">
        <v>21</v>
      </c>
      <c r="B52" s="10">
        <v>2100</v>
      </c>
      <c r="D52" s="18" t="s">
        <v>50</v>
      </c>
      <c r="H52" s="4"/>
    </row>
    <row r="53" spans="1:8" x14ac:dyDescent="0.2">
      <c r="A53" t="s">
        <v>27</v>
      </c>
      <c r="B53" s="10">
        <v>2500</v>
      </c>
      <c r="D53" s="18" t="s">
        <v>48</v>
      </c>
    </row>
    <row r="54" spans="1:8" x14ac:dyDescent="0.2">
      <c r="A54" s="18" t="s">
        <v>59</v>
      </c>
      <c r="B54" s="26">
        <f>B25-B51-B52-B53</f>
        <v>10740.421764705881</v>
      </c>
      <c r="D54" t="s">
        <v>28</v>
      </c>
    </row>
    <row r="55" spans="1:8" x14ac:dyDescent="0.2">
      <c r="A55" s="18" t="s">
        <v>1</v>
      </c>
      <c r="B55" s="6">
        <f>SUM(B51:B54)</f>
        <v>18574</v>
      </c>
    </row>
    <row r="56" spans="1:8" x14ac:dyDescent="0.2">
      <c r="B56" s="6"/>
    </row>
    <row r="57" spans="1:8" x14ac:dyDescent="0.2">
      <c r="A57" s="18" t="s">
        <v>29</v>
      </c>
      <c r="B57" s="6"/>
    </row>
    <row r="58" spans="1:8" x14ac:dyDescent="0.2">
      <c r="A58" s="2" t="s">
        <v>31</v>
      </c>
      <c r="B58" s="31">
        <v>2.9069999999999999E-2</v>
      </c>
      <c r="C58" s="18" t="s">
        <v>14</v>
      </c>
    </row>
    <row r="59" spans="1:8" x14ac:dyDescent="0.2">
      <c r="A59" s="101" t="s">
        <v>30</v>
      </c>
      <c r="B59" s="101"/>
      <c r="C59" s="101"/>
      <c r="D59" s="101"/>
      <c r="E59" s="101"/>
      <c r="F59" s="101"/>
    </row>
    <row r="60" spans="1:8" x14ac:dyDescent="0.2">
      <c r="A60" s="101"/>
      <c r="B60" s="101"/>
      <c r="C60" s="101"/>
      <c r="D60" s="101"/>
      <c r="E60" s="101"/>
      <c r="F60" s="101"/>
    </row>
    <row r="61" spans="1:8" x14ac:dyDescent="0.2">
      <c r="B61" s="11"/>
      <c r="E61" s="13"/>
      <c r="F61" s="1"/>
    </row>
    <row r="62" spans="1:8" ht="13.5" thickBot="1" x14ac:dyDescent="0.25">
      <c r="A62" s="32" t="s">
        <v>47</v>
      </c>
      <c r="B62" s="32" t="s">
        <v>32</v>
      </c>
      <c r="C62" s="32"/>
      <c r="D62" s="32" t="s">
        <v>33</v>
      </c>
      <c r="E62" s="32" t="s">
        <v>34</v>
      </c>
      <c r="F62" s="32" t="s">
        <v>35</v>
      </c>
      <c r="G62" s="32" t="s">
        <v>36</v>
      </c>
    </row>
    <row r="63" spans="1:8" x14ac:dyDescent="0.2">
      <c r="A63" s="33" t="s">
        <v>58</v>
      </c>
      <c r="B63" s="33">
        <f>E22</f>
        <v>646715.64705882361</v>
      </c>
      <c r="C63" s="34"/>
      <c r="D63" s="35">
        <v>25</v>
      </c>
      <c r="E63" s="36">
        <v>4.4999999999999998E-2</v>
      </c>
      <c r="F63" s="37">
        <f>-PMT(E63/12,D63*12,B63)</f>
        <v>3594.6556064149704</v>
      </c>
      <c r="G63" s="37">
        <f>F63*12</f>
        <v>43135.867276979647</v>
      </c>
    </row>
    <row r="64" spans="1:8" ht="13.5" thickBot="1" x14ac:dyDescent="0.25">
      <c r="A64" s="38" t="s">
        <v>49</v>
      </c>
      <c r="B64" s="39">
        <f>B47</f>
        <v>593000</v>
      </c>
      <c r="C64" s="40"/>
      <c r="D64" s="41">
        <v>25</v>
      </c>
      <c r="E64" s="42">
        <f>B58</f>
        <v>2.9069999999999999E-2</v>
      </c>
      <c r="F64" s="43">
        <f>-PMT(E64/12,D64*12,B64)</f>
        <v>2783.4729621278539</v>
      </c>
      <c r="G64" s="43">
        <f>F64*12</f>
        <v>33401.67554553425</v>
      </c>
    </row>
    <row r="65" spans="1:7" x14ac:dyDescent="0.2">
      <c r="A65" s="102" t="s">
        <v>40</v>
      </c>
      <c r="B65" s="102"/>
      <c r="C65" s="102"/>
      <c r="D65" s="102"/>
      <c r="E65" s="102"/>
      <c r="F65" s="44" t="s">
        <v>37</v>
      </c>
      <c r="G65" s="45">
        <f>SUM(G63:G64)</f>
        <v>76537.542822513904</v>
      </c>
    </row>
    <row r="66" spans="1:7" x14ac:dyDescent="0.2">
      <c r="A66" s="103"/>
      <c r="B66" s="103"/>
      <c r="C66" s="103"/>
      <c r="D66" s="103"/>
      <c r="E66" s="103"/>
      <c r="F66" s="3"/>
      <c r="G66" s="46"/>
    </row>
    <row r="67" spans="1:7" hidden="1" x14ac:dyDescent="0.2">
      <c r="A67" s="104"/>
      <c r="B67" s="104"/>
      <c r="C67" s="104"/>
      <c r="D67" s="104"/>
      <c r="E67" s="104"/>
      <c r="F67" s="104"/>
      <c r="G67" s="104"/>
    </row>
    <row r="68" spans="1:7" hidden="1" x14ac:dyDescent="0.2">
      <c r="A68" s="104"/>
      <c r="B68" s="104"/>
      <c r="C68" s="104"/>
      <c r="D68" s="104"/>
      <c r="E68" s="104"/>
      <c r="F68" s="104"/>
      <c r="G68" s="104"/>
    </row>
    <row r="69" spans="1:7" ht="15" x14ac:dyDescent="0.2">
      <c r="A69" s="2"/>
      <c r="B69" s="53"/>
      <c r="C69" s="2"/>
      <c r="D69" s="2"/>
      <c r="E69" s="2"/>
      <c r="F69" s="18" t="s">
        <v>61</v>
      </c>
      <c r="G69" s="71">
        <f>(B15+D15)*12</f>
        <v>105600</v>
      </c>
    </row>
    <row r="70" spans="1:7" ht="15" x14ac:dyDescent="0.2">
      <c r="A70" s="2"/>
      <c r="B70" s="53"/>
      <c r="C70" s="2"/>
      <c r="D70" s="2"/>
      <c r="E70" s="2"/>
      <c r="F70" s="2" t="s">
        <v>60</v>
      </c>
      <c r="G70" s="45">
        <f>G69-G65</f>
        <v>29062.457177486096</v>
      </c>
    </row>
    <row r="71" spans="1:7" ht="13.15" hidden="1" customHeight="1" x14ac:dyDescent="0.2">
      <c r="B71" s="52" t="s">
        <v>44</v>
      </c>
    </row>
    <row r="72" spans="1:7" hidden="1" x14ac:dyDescent="0.2">
      <c r="A72" t="s">
        <v>3</v>
      </c>
      <c r="D72" s="4">
        <f>E24</f>
        <v>574858.3529411765</v>
      </c>
    </row>
    <row r="73" spans="1:7" hidden="1" x14ac:dyDescent="0.2">
      <c r="A73" t="s">
        <v>38</v>
      </c>
      <c r="D73" s="4">
        <f>D72*0.005</f>
        <v>2874.2917647058825</v>
      </c>
    </row>
    <row r="74" spans="1:7" hidden="1" x14ac:dyDescent="0.2">
      <c r="A74" t="s">
        <v>15</v>
      </c>
      <c r="D74" s="4">
        <f>B38*0.0025</f>
        <v>1437.1458823529413</v>
      </c>
    </row>
    <row r="75" spans="1:7" hidden="1" x14ac:dyDescent="0.2">
      <c r="A75" t="s">
        <v>16</v>
      </c>
      <c r="D75" s="4">
        <f>B38*0.015</f>
        <v>8622.8752941176481</v>
      </c>
    </row>
    <row r="76" spans="1:7" hidden="1" x14ac:dyDescent="0.2">
      <c r="A76" t="s">
        <v>17</v>
      </c>
      <c r="D76" s="4">
        <v>2500</v>
      </c>
    </row>
    <row r="77" spans="1:7" hidden="1" x14ac:dyDescent="0.2">
      <c r="D77" s="4"/>
    </row>
    <row r="78" spans="1:7" hidden="1" x14ac:dyDescent="0.2">
      <c r="A78" t="s">
        <v>4</v>
      </c>
      <c r="D78" s="4">
        <f>SUM(D72:D77)</f>
        <v>590292.66588235297</v>
      </c>
    </row>
    <row r="79" spans="1:7" hidden="1" x14ac:dyDescent="0.2">
      <c r="D79" s="4"/>
    </row>
    <row r="80" spans="1:7" hidden="1" x14ac:dyDescent="0.2">
      <c r="A80" t="s">
        <v>5</v>
      </c>
      <c r="B80" s="4">
        <f>D78/0.996</f>
        <v>592663.31915898889</v>
      </c>
      <c r="D80" s="4"/>
    </row>
    <row r="81" spans="1:7" hidden="1" x14ac:dyDescent="0.2">
      <c r="A81" t="s">
        <v>6</v>
      </c>
      <c r="B81" s="4">
        <f>ROUNDUP(B80,-3)</f>
        <v>593000</v>
      </c>
      <c r="D81" s="4"/>
    </row>
    <row r="82" spans="1:7" hidden="1" x14ac:dyDescent="0.2">
      <c r="A82" t="s">
        <v>18</v>
      </c>
      <c r="B82" s="4"/>
      <c r="D82" s="4">
        <f>B81*0.004</f>
        <v>2372</v>
      </c>
    </row>
    <row r="83" spans="1:7" hidden="1" x14ac:dyDescent="0.2">
      <c r="A83" t="s">
        <v>4</v>
      </c>
      <c r="B83" s="4"/>
      <c r="D83" s="4">
        <f>SUM(D78:D82)</f>
        <v>592664.66588235297</v>
      </c>
    </row>
    <row r="84" spans="1:7" hidden="1" x14ac:dyDescent="0.2">
      <c r="A84" t="s">
        <v>6</v>
      </c>
      <c r="B84" s="4"/>
      <c r="D84" s="5">
        <f>ROUNDUP(D83,-3)</f>
        <v>593000</v>
      </c>
      <c r="E84" s="2" t="s">
        <v>7</v>
      </c>
    </row>
    <row r="85" spans="1:7" hidden="1" x14ac:dyDescent="0.2">
      <c r="B85" s="4"/>
    </row>
    <row r="86" spans="1:7" x14ac:dyDescent="0.2">
      <c r="B86" s="4"/>
    </row>
    <row r="87" spans="1:7" x14ac:dyDescent="0.2">
      <c r="B87" s="4"/>
      <c r="F87" s="18" t="s">
        <v>62</v>
      </c>
      <c r="G87" s="71">
        <f>B55+B44+B43+B42+B41+B40</f>
        <v>36380.312941176475</v>
      </c>
    </row>
    <row r="88" spans="1:7" x14ac:dyDescent="0.2">
      <c r="B88" s="4"/>
      <c r="F88" s="2" t="s">
        <v>63</v>
      </c>
      <c r="G88" s="66">
        <f>G87/G70</f>
        <v>1.2517975585821877</v>
      </c>
    </row>
    <row r="89" spans="1:7" x14ac:dyDescent="0.2">
      <c r="A89" s="2" t="s">
        <v>65</v>
      </c>
    </row>
    <row r="91" spans="1:7" ht="13.5" thickBot="1" x14ac:dyDescent="0.25">
      <c r="A91" s="32" t="s">
        <v>47</v>
      </c>
      <c r="B91" s="32" t="s">
        <v>32</v>
      </c>
      <c r="C91" s="32"/>
      <c r="D91" s="32" t="s">
        <v>64</v>
      </c>
      <c r="E91" s="32" t="s">
        <v>34</v>
      </c>
      <c r="F91" s="32" t="s">
        <v>35</v>
      </c>
      <c r="G91" s="32" t="s">
        <v>36</v>
      </c>
    </row>
    <row r="92" spans="1:7" x14ac:dyDescent="0.2">
      <c r="A92" s="33" t="s">
        <v>58</v>
      </c>
      <c r="B92" s="33">
        <f>B63</f>
        <v>646715.64705882361</v>
      </c>
      <c r="C92" s="34"/>
      <c r="D92" s="68">
        <f>B16/12</f>
        <v>20</v>
      </c>
      <c r="E92" s="36">
        <v>4.4999999999999998E-2</v>
      </c>
      <c r="F92" s="37">
        <f>-PMT(E92/12,D92*12,B92)</f>
        <v>4091.4425070345414</v>
      </c>
      <c r="G92" s="37">
        <f>F92*12</f>
        <v>49097.310084414494</v>
      </c>
    </row>
    <row r="93" spans="1:7" ht="13.5" thickBot="1" x14ac:dyDescent="0.25">
      <c r="A93" s="38" t="s">
        <v>49</v>
      </c>
      <c r="B93" s="39">
        <f>B64</f>
        <v>593000</v>
      </c>
      <c r="C93" s="40"/>
      <c r="D93" s="69">
        <f>D16/12</f>
        <v>20</v>
      </c>
      <c r="E93" s="42">
        <v>2.7910000000000001E-2</v>
      </c>
      <c r="F93" s="43">
        <f>-PMT(E93/12,D93*12,B93)</f>
        <v>3227.0677865450521</v>
      </c>
      <c r="G93" s="43">
        <f>F93*12</f>
        <v>38724.813438540623</v>
      </c>
    </row>
    <row r="94" spans="1:7" x14ac:dyDescent="0.2">
      <c r="A94" s="102"/>
      <c r="B94" s="102"/>
      <c r="C94" s="102"/>
      <c r="D94" s="102"/>
      <c r="E94" s="102"/>
      <c r="F94" s="44" t="s">
        <v>37</v>
      </c>
      <c r="G94" s="45">
        <f>SUM(G92:G93)</f>
        <v>87822.123522955109</v>
      </c>
    </row>
    <row r="95" spans="1:7" x14ac:dyDescent="0.2">
      <c r="A95" s="103"/>
      <c r="B95" s="103"/>
      <c r="C95" s="103"/>
      <c r="D95" s="103"/>
      <c r="E95" s="103"/>
      <c r="F95" s="3"/>
      <c r="G95" s="46"/>
    </row>
    <row r="96" spans="1:7" ht="15" x14ac:dyDescent="0.2">
      <c r="A96" s="2"/>
      <c r="B96" s="53"/>
      <c r="C96" s="2"/>
      <c r="D96" s="2"/>
      <c r="E96" s="2"/>
      <c r="F96" s="18" t="s">
        <v>61</v>
      </c>
      <c r="G96" s="71">
        <f>G69</f>
        <v>105600</v>
      </c>
    </row>
    <row r="97" spans="1:7" ht="15" x14ac:dyDescent="0.2">
      <c r="A97" s="2"/>
      <c r="B97" s="53"/>
      <c r="C97" s="2"/>
      <c r="D97" s="2"/>
      <c r="E97" s="2"/>
      <c r="F97" s="2" t="s">
        <v>60</v>
      </c>
      <c r="G97" s="45">
        <f>G96-G94</f>
        <v>17777.876477044891</v>
      </c>
    </row>
    <row r="98" spans="1:7" x14ac:dyDescent="0.2">
      <c r="B98" s="4"/>
    </row>
    <row r="99" spans="1:7" x14ac:dyDescent="0.2">
      <c r="B99" s="4"/>
      <c r="F99" s="18" t="s">
        <v>62</v>
      </c>
      <c r="G99" s="71">
        <f>G87</f>
        <v>36380.312941176475</v>
      </c>
    </row>
    <row r="100" spans="1:7" x14ac:dyDescent="0.2">
      <c r="B100" s="4"/>
      <c r="F100" s="2" t="s">
        <v>63</v>
      </c>
      <c r="G100" s="66">
        <f>G99/G97</f>
        <v>2.0463812417726821</v>
      </c>
    </row>
  </sheetData>
  <mergeCells count="4">
    <mergeCell ref="A59:F60"/>
    <mergeCell ref="A65:E66"/>
    <mergeCell ref="A67:G68"/>
    <mergeCell ref="A94:E95"/>
  </mergeCells>
  <pageMargins left="0.7" right="0.7" top="0.75" bottom="0.75" header="0.3" footer="0.3"/>
  <pageSetup scale="5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504 Refi of 504 Worksheet </vt:lpstr>
      <vt:lpstr>Sample</vt:lpstr>
      <vt:lpstr>'504 Refi of 504 Worksheet '!Print_Area</vt:lpstr>
    </vt:vector>
  </TitlesOfParts>
  <Company>Wisconsin Business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Dieckman</dc:creator>
  <cp:lastModifiedBy>Darren Paul</cp:lastModifiedBy>
  <cp:lastPrinted>2019-06-04T20:54:50Z</cp:lastPrinted>
  <dcterms:created xsi:type="dcterms:W3CDTF">2004-08-16T07:06:59Z</dcterms:created>
  <dcterms:modified xsi:type="dcterms:W3CDTF">2021-08-19T16:50:08Z</dcterms:modified>
</cp:coreProperties>
</file>